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ntekse-my.sharepoint.com/personal/ove_karlsson_ltubusiness_se/Documents/Dokument/AB Andra organisationer/Växa Sverige/"/>
    </mc:Choice>
  </mc:AlternateContent>
  <xr:revisionPtr revIDLastSave="2084" documentId="8_{8B8FEA04-A9A4-4799-86AF-4FC6561A20BE}" xr6:coauthVersionLast="47" xr6:coauthVersionMax="47" xr10:uidLastSave="{43C735F7-478E-435C-87A1-70082CA10D49}"/>
  <bookViews>
    <workbookView xWindow="-110" yWindow="-110" windowWidth="19420" windowHeight="11500" xr2:uid="{965E78D0-273F-4064-B745-31BF64987F1E}"/>
  </bookViews>
  <sheets>
    <sheet name="Kalkyl" sheetId="1" r:id="rId1"/>
    <sheet name="Kapital" sheetId="6" r:id="rId2"/>
    <sheet name="Risker" sheetId="3" r:id="rId3"/>
    <sheet name="Lön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B13" i="6"/>
  <c r="B10" i="6"/>
  <c r="B12" i="6" s="1"/>
  <c r="I9" i="6"/>
  <c r="K9" i="6" s="1"/>
  <c r="D9" i="6"/>
  <c r="J9" i="6" s="1"/>
  <c r="I8" i="6"/>
  <c r="F8" i="6"/>
  <c r="D8" i="6"/>
  <c r="G8" i="6" s="1"/>
  <c r="K7" i="6"/>
  <c r="J7" i="6"/>
  <c r="F7" i="6"/>
  <c r="D7" i="6"/>
  <c r="G7" i="6" s="1"/>
  <c r="L7" i="6" s="1"/>
  <c r="K6" i="6"/>
  <c r="J6" i="6"/>
  <c r="F6" i="6"/>
  <c r="D6" i="6"/>
  <c r="G6" i="6" s="1"/>
  <c r="L6" i="6" s="1"/>
  <c r="K5" i="6"/>
  <c r="J5" i="6"/>
  <c r="F5" i="6"/>
  <c r="D5" i="6"/>
  <c r="G5" i="6" s="1"/>
  <c r="C4" i="5"/>
  <c r="D4" i="5"/>
  <c r="E4" i="5"/>
  <c r="F4" i="5" s="1"/>
  <c r="G4" i="5"/>
  <c r="H4" i="5"/>
  <c r="C5" i="5"/>
  <c r="G5" i="5"/>
  <c r="G7" i="5" s="1"/>
  <c r="G8" i="5" s="1"/>
  <c r="D6" i="5"/>
  <c r="H6" i="5"/>
  <c r="C7" i="5"/>
  <c r="C8" i="5" s="1"/>
  <c r="D4" i="1"/>
  <c r="F4" i="1" s="1"/>
  <c r="H6" i="1"/>
  <c r="H11" i="1"/>
  <c r="E3" i="1"/>
  <c r="F3" i="1" s="1"/>
  <c r="C8" i="3"/>
  <c r="C10" i="3" s="1"/>
  <c r="L5" i="6" l="1"/>
  <c r="L8" i="6"/>
  <c r="J8" i="6"/>
  <c r="J10" i="6" s="1"/>
  <c r="E10" i="6" s="1"/>
  <c r="I10" i="6"/>
  <c r="F9" i="6"/>
  <c r="F10" i="6" s="1"/>
  <c r="H19" i="1" s="1"/>
  <c r="D10" i="6"/>
  <c r="H10" i="1" s="1"/>
  <c r="K8" i="6"/>
  <c r="K10" i="6" s="1"/>
  <c r="G9" i="6"/>
  <c r="L9" i="6" s="1"/>
  <c r="E5" i="5"/>
  <c r="H4" i="1"/>
  <c r="H5" i="1" s="1"/>
  <c r="H18" i="1"/>
  <c r="F11" i="6" l="1"/>
  <c r="G11" i="6" s="1"/>
  <c r="L11" i="6" s="1"/>
  <c r="I13" i="6"/>
  <c r="L10" i="6"/>
  <c r="G10" i="6"/>
  <c r="F6" i="5"/>
  <c r="E7" i="5"/>
  <c r="E8" i="5" s="1"/>
  <c r="H22" i="1"/>
  <c r="I22" i="1" s="1"/>
  <c r="I23" i="1" s="1"/>
  <c r="G17" i="1"/>
  <c r="I18" i="1"/>
  <c r="G12" i="6" l="1"/>
  <c r="L12" i="6"/>
  <c r="L13" i="6"/>
  <c r="G10" i="1" l="1"/>
  <c r="G9" i="1"/>
  <c r="G8" i="1"/>
  <c r="G6" i="1"/>
  <c r="H15" i="1"/>
  <c r="G11" i="1"/>
  <c r="H7" i="1"/>
  <c r="H12" i="1" s="1"/>
  <c r="G5" i="1"/>
  <c r="H21" i="1"/>
  <c r="F12" i="1" l="1"/>
  <c r="I12" i="1"/>
  <c r="H16" i="1"/>
  <c r="H23" i="1" s="1"/>
  <c r="I7" i="1"/>
</calcChain>
</file>

<file path=xl/sharedStrings.xml><?xml version="1.0" encoding="utf-8"?>
<sst xmlns="http://schemas.openxmlformats.org/spreadsheetml/2006/main" count="113" uniqueCount="85">
  <si>
    <t>Avskrivningar</t>
  </si>
  <si>
    <t>Resultat "verklig " vinst/förlust</t>
  </si>
  <si>
    <t>Resultat före avskrivning</t>
  </si>
  <si>
    <t>Nyupplåning</t>
  </si>
  <si>
    <t>Marginal till arbete o kapital (oavsett ägare)</t>
  </si>
  <si>
    <t>Normalår</t>
  </si>
  <si>
    <t>Jordbruksmark</t>
  </si>
  <si>
    <r>
      <t xml:space="preserve">Direkta kostnader </t>
    </r>
    <r>
      <rPr>
        <sz val="16"/>
        <color theme="1"/>
        <rFont val="Aptos Narrow"/>
        <family val="2"/>
        <scheme val="minor"/>
      </rPr>
      <t>(till produktion)</t>
    </r>
  </si>
  <si>
    <t>Byggnader</t>
  </si>
  <si>
    <t>Byggnadsinventarier</t>
  </si>
  <si>
    <t>Markinventarier</t>
  </si>
  <si>
    <t>Inkomstskatt</t>
  </si>
  <si>
    <t>Lön efter inkomstskatt</t>
  </si>
  <si>
    <t>Egenavgifter</t>
  </si>
  <si>
    <t>Resultat</t>
  </si>
  <si>
    <t>Lön före inkomstskatt</t>
  </si>
  <si>
    <t>Lön efter inkomstskatt per månad</t>
  </si>
  <si>
    <t xml:space="preserve">Amorteringar            </t>
  </si>
  <si>
    <t>Klimatrisk</t>
  </si>
  <si>
    <t>Marknadsrisk</t>
  </si>
  <si>
    <t>Politisk risk</t>
  </si>
  <si>
    <t>Krigsrisk</t>
  </si>
  <si>
    <t>Extremväderrisk</t>
  </si>
  <si>
    <t xml:space="preserve">Påverkan </t>
  </si>
  <si>
    <t>intäkter</t>
  </si>
  <si>
    <t>Räntenetto   4 % ränta</t>
  </si>
  <si>
    <r>
      <t>Kort resultaträkning (</t>
    </r>
    <r>
      <rPr>
        <b/>
        <sz val="16"/>
        <color theme="1"/>
        <rFont val="Aptos Narrow"/>
        <family val="2"/>
        <scheme val="minor"/>
      </rPr>
      <t>tkr)</t>
    </r>
  </si>
  <si>
    <t>Kostnader</t>
  </si>
  <si>
    <t>kr/kg</t>
  </si>
  <si>
    <t>Insatser % på oms.</t>
  </si>
  <si>
    <t>% av oms</t>
  </si>
  <si>
    <t>Arrende+ körslor + tjänster mm</t>
  </si>
  <si>
    <t>år</t>
  </si>
  <si>
    <t>Intäkter inkl stöd            ökad prod</t>
  </si>
  <si>
    <t>Själv-</t>
  </si>
  <si>
    <t>finanisera</t>
  </si>
  <si>
    <t xml:space="preserve">Bokfört </t>
  </si>
  <si>
    <t>värde</t>
  </si>
  <si>
    <t>Avskr.</t>
  </si>
  <si>
    <t>%</t>
  </si>
  <si>
    <t>kr</t>
  </si>
  <si>
    <t>Investera</t>
  </si>
  <si>
    <t>Skuld kr</t>
  </si>
  <si>
    <t>av BV %</t>
  </si>
  <si>
    <t>Totalt 10 år</t>
  </si>
  <si>
    <t>Investeringar netto självfinansiera</t>
  </si>
  <si>
    <t>kor</t>
  </si>
  <si>
    <t>kg mjölk/ko</t>
  </si>
  <si>
    <t>ton mjölk</t>
  </si>
  <si>
    <t>Amort.10år</t>
  </si>
  <si>
    <t>per år kr</t>
  </si>
  <si>
    <t xml:space="preserve">Maskiner </t>
  </si>
  <si>
    <t>värde e.inv</t>
  </si>
  <si>
    <t>Skuld % av anl.tillg.</t>
  </si>
  <si>
    <t>Skuld kr /ko</t>
  </si>
  <si>
    <t xml:space="preserve">EF: </t>
  </si>
  <si>
    <t>AB:</t>
  </si>
  <si>
    <t xml:space="preserve">Kassaflöde (förenklat)                    </t>
  </si>
  <si>
    <r>
      <t xml:space="preserve">Återföring avskrivning         </t>
    </r>
    <r>
      <rPr>
        <sz val="16"/>
        <color theme="1"/>
        <rFont val="Aptos Narrow"/>
        <family val="2"/>
        <scheme val="minor"/>
      </rPr>
      <t>(pga ej utbetalning)</t>
    </r>
  </si>
  <si>
    <t>tkr      rta:</t>
  </si>
  <si>
    <r>
      <t>Personalkostnader</t>
    </r>
    <r>
      <rPr>
        <sz val="16"/>
        <color theme="1"/>
        <rFont val="Aptos Narrow"/>
        <family val="2"/>
        <scheme val="minor"/>
      </rPr>
      <t xml:space="preserve"> inkl ägarlön o egenavg. </t>
    </r>
    <r>
      <rPr>
        <sz val="14"/>
        <color theme="1"/>
        <rFont val="Aptos Narrow"/>
        <family val="2"/>
        <scheme val="minor"/>
      </rPr>
      <t>(920 tkr)</t>
    </r>
  </si>
  <si>
    <t>Inv/extra ko:</t>
  </si>
  <si>
    <t>Lösa på 5 år</t>
  </si>
  <si>
    <t>per år</t>
  </si>
  <si>
    <t>,</t>
  </si>
  <si>
    <t xml:space="preserve"> = Buffert utöver likviditet efter 5 år)</t>
  </si>
  <si>
    <t>Fyll i gröna områden</t>
  </si>
  <si>
    <t xml:space="preserve">tkr    </t>
  </si>
  <si>
    <t>Se flik kapital</t>
  </si>
  <si>
    <t>Balans kassaflöde (ska vara 0 eller positivt)</t>
  </si>
  <si>
    <t xml:space="preserve"> = vinstmarginal</t>
  </si>
  <si>
    <r>
      <t xml:space="preserve">Indirekta kostnader </t>
    </r>
    <r>
      <rPr>
        <sz val="10"/>
        <color theme="1"/>
        <rFont val="Aptos Narrow"/>
        <family val="2"/>
        <scheme val="minor"/>
      </rPr>
      <t>(energi, underhåll, admin mm)</t>
    </r>
  </si>
  <si>
    <t>Enkel kalkyl kapital</t>
  </si>
  <si>
    <t>?</t>
  </si>
  <si>
    <t>Ägarlön, inkomstskatt och egenavgifter</t>
  </si>
  <si>
    <t>Beräkna olika risker</t>
  </si>
  <si>
    <t>(för till kalkylen)</t>
  </si>
  <si>
    <t xml:space="preserve"> </t>
  </si>
  <si>
    <t>Räknesnurra för resultaträkning o kassaflöde- vilken vinst behöver jag för att kassabalansen ska vara bra?</t>
  </si>
  <si>
    <t>Kollar din %-sats och lägg in den</t>
  </si>
  <si>
    <t>Kolla ditt belopp och lägg in det</t>
  </si>
  <si>
    <t>Lägg in %-sats</t>
  </si>
  <si>
    <r>
      <t>Bygga buffert % på oms.</t>
    </r>
    <r>
      <rPr>
        <sz val="12"/>
        <color theme="1"/>
        <rFont val="Aptos Narrow"/>
        <family val="2"/>
        <scheme val="minor"/>
      </rPr>
      <t xml:space="preserve"> (hantera risker- se fliken risker)</t>
    </r>
  </si>
  <si>
    <r>
      <t>Ökat rörelsekap.</t>
    </r>
    <r>
      <rPr>
        <sz val="14"/>
        <color theme="1"/>
        <rFont val="Aptos Narrow"/>
        <family val="2"/>
        <scheme val="minor"/>
      </rPr>
      <t xml:space="preserve"> (org. tillväxt 5% på dir. o indir kostn.)</t>
    </r>
  </si>
  <si>
    <t xml:space="preserve"> = Buffert % av omsättning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</si>
</sst>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8"/>
      <color theme="1"/>
      <name val="Aptos Narrow"/>
      <family val="2"/>
      <scheme val="minor"/>
    </font>
    <font>
      <sz val="18"/>
      <color rgb="FFC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i/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8"/>
      <color theme="1"/>
      <name val="Aptos ExtraBold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9" fontId="3" fillId="0" borderId="0" xfId="1" applyFont="1" applyBorder="1"/>
    <xf numFmtId="0" fontId="6" fillId="0" borderId="0" xfId="0" applyFont="1"/>
    <xf numFmtId="3" fontId="6" fillId="0" borderId="0" xfId="0" applyNumberFormat="1" applyFont="1"/>
    <xf numFmtId="0" fontId="7" fillId="0" borderId="0" xfId="0" applyFont="1"/>
    <xf numFmtId="164" fontId="3" fillId="0" borderId="0" xfId="1" applyNumberFormat="1" applyFont="1" applyBorder="1"/>
    <xf numFmtId="0" fontId="7" fillId="0" borderId="1" xfId="0" applyFont="1" applyBorder="1"/>
    <xf numFmtId="0" fontId="2" fillId="0" borderId="2" xfId="0" applyFont="1" applyBorder="1"/>
    <xf numFmtId="9" fontId="3" fillId="0" borderId="2" xfId="1" applyFont="1" applyBorder="1"/>
    <xf numFmtId="9" fontId="6" fillId="0" borderId="0" xfId="1" applyFont="1"/>
    <xf numFmtId="9" fontId="2" fillId="0" borderId="0" xfId="1" applyFont="1"/>
    <xf numFmtId="165" fontId="6" fillId="0" borderId="0" xfId="0" applyNumberFormat="1" applyFont="1"/>
    <xf numFmtId="0" fontId="6" fillId="0" borderId="4" xfId="0" applyFont="1" applyBorder="1"/>
    <xf numFmtId="0" fontId="7" fillId="2" borderId="4" xfId="0" applyFont="1" applyFill="1" applyBorder="1"/>
    <xf numFmtId="0" fontId="7" fillId="2" borderId="2" xfId="0" applyFont="1" applyFill="1" applyBorder="1"/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2" fontId="2" fillId="3" borderId="2" xfId="0" applyNumberFormat="1" applyFont="1" applyFill="1" applyBorder="1"/>
    <xf numFmtId="0" fontId="2" fillId="0" borderId="5" xfId="0" applyFont="1" applyBorder="1"/>
    <xf numFmtId="9" fontId="6" fillId="0" borderId="0" xfId="0" applyNumberFormat="1" applyFont="1"/>
    <xf numFmtId="164" fontId="3" fillId="0" borderId="1" xfId="1" applyNumberFormat="1" applyFont="1" applyBorder="1"/>
    <xf numFmtId="3" fontId="7" fillId="3" borderId="10" xfId="0" applyNumberFormat="1" applyFont="1" applyFill="1" applyBorder="1"/>
    <xf numFmtId="9" fontId="3" fillId="2" borderId="2" xfId="1" applyFont="1" applyFill="1" applyBorder="1"/>
    <xf numFmtId="0" fontId="7" fillId="0" borderId="9" xfId="0" applyFont="1" applyBorder="1"/>
    <xf numFmtId="3" fontId="7" fillId="2" borderId="3" xfId="0" applyNumberFormat="1" applyFont="1" applyFill="1" applyBorder="1"/>
    <xf numFmtId="9" fontId="3" fillId="0" borderId="5" xfId="1" applyFont="1" applyBorder="1"/>
    <xf numFmtId="0" fontId="6" fillId="0" borderId="6" xfId="0" applyFont="1" applyBorder="1"/>
    <xf numFmtId="164" fontId="3" fillId="0" borderId="7" xfId="1" applyNumberFormat="1" applyFont="1" applyBorder="1"/>
    <xf numFmtId="3" fontId="8" fillId="0" borderId="0" xfId="0" applyNumberFormat="1" applyFont="1"/>
    <xf numFmtId="9" fontId="3" fillId="0" borderId="7" xfId="1" applyFont="1" applyBorder="1"/>
    <xf numFmtId="0" fontId="6" fillId="0" borderId="8" xfId="0" applyFont="1" applyBorder="1"/>
    <xf numFmtId="3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2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/>
    </xf>
    <xf numFmtId="0" fontId="9" fillId="0" borderId="0" xfId="0" applyFont="1"/>
    <xf numFmtId="0" fontId="0" fillId="0" borderId="5" xfId="0" applyBorder="1" applyAlignment="1">
      <alignment horizontal="right"/>
    </xf>
    <xf numFmtId="0" fontId="6" fillId="0" borderId="0" xfId="0" applyFont="1" applyAlignment="1">
      <alignment horizontal="right"/>
    </xf>
    <xf numFmtId="164" fontId="6" fillId="0" borderId="0" xfId="0" applyNumberFormat="1" applyFont="1"/>
    <xf numFmtId="164" fontId="0" fillId="0" borderId="0" xfId="0" applyNumberFormat="1"/>
    <xf numFmtId="0" fontId="6" fillId="0" borderId="1" xfId="0" applyFont="1" applyBorder="1" applyAlignment="1">
      <alignment horizontal="left"/>
    </xf>
    <xf numFmtId="3" fontId="6" fillId="0" borderId="1" xfId="0" applyNumberFormat="1" applyFont="1" applyBorder="1"/>
    <xf numFmtId="164" fontId="6" fillId="0" borderId="1" xfId="0" applyNumberFormat="1" applyFont="1" applyBorder="1"/>
    <xf numFmtId="9" fontId="6" fillId="0" borderId="1" xfId="0" applyNumberFormat="1" applyFont="1" applyBorder="1"/>
    <xf numFmtId="0" fontId="6" fillId="0" borderId="2" xfId="0" applyFont="1" applyBorder="1"/>
    <xf numFmtId="0" fontId="6" fillId="2" borderId="2" xfId="0" applyFont="1" applyFill="1" applyBorder="1"/>
    <xf numFmtId="0" fontId="0" fillId="0" borderId="1" xfId="0" applyBorder="1"/>
    <xf numFmtId="0" fontId="6" fillId="0" borderId="1" xfId="0" applyFont="1" applyBorder="1" applyAlignment="1">
      <alignment horizontal="right"/>
    </xf>
    <xf numFmtId="3" fontId="10" fillId="0" borderId="0" xfId="0" applyNumberFormat="1" applyFont="1"/>
    <xf numFmtId="0" fontId="6" fillId="0" borderId="12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3" fontId="6" fillId="0" borderId="10" xfId="0" applyNumberFormat="1" applyFont="1" applyBorder="1"/>
    <xf numFmtId="3" fontId="6" fillId="0" borderId="11" xfId="0" applyNumberFormat="1" applyFont="1" applyBorder="1"/>
    <xf numFmtId="164" fontId="6" fillId="0" borderId="11" xfId="0" applyNumberFormat="1" applyFont="1" applyBorder="1"/>
    <xf numFmtId="3" fontId="11" fillId="0" borderId="3" xfId="0" applyNumberFormat="1" applyFont="1" applyBorder="1"/>
    <xf numFmtId="3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164" fontId="1" fillId="0" borderId="0" xfId="1" applyNumberFormat="1" applyFont="1"/>
    <xf numFmtId="0" fontId="6" fillId="0" borderId="13" xfId="0" applyFont="1" applyBorder="1"/>
    <xf numFmtId="0" fontId="6" fillId="0" borderId="14" xfId="0" applyFont="1" applyBorder="1"/>
    <xf numFmtId="164" fontId="3" fillId="0" borderId="14" xfId="1" applyNumberFormat="1" applyFont="1" applyBorder="1"/>
    <xf numFmtId="0" fontId="7" fillId="2" borderId="3" xfId="0" applyFont="1" applyFill="1" applyBorder="1" applyAlignment="1">
      <alignment horizontal="right"/>
    </xf>
    <xf numFmtId="3" fontId="7" fillId="3" borderId="3" xfId="0" applyNumberFormat="1" applyFont="1" applyFill="1" applyBorder="1"/>
    <xf numFmtId="3" fontId="7" fillId="3" borderId="12" xfId="0" applyNumberFormat="1" applyFont="1" applyFill="1" applyBorder="1"/>
    <xf numFmtId="3" fontId="7" fillId="3" borderId="11" xfId="0" applyNumberFormat="1" applyFont="1" applyFill="1" applyBorder="1"/>
    <xf numFmtId="3" fontId="7" fillId="0" borderId="0" xfId="0" applyNumberFormat="1" applyFont="1"/>
    <xf numFmtId="0" fontId="6" fillId="0" borderId="16" xfId="0" applyFont="1" applyBorder="1"/>
    <xf numFmtId="0" fontId="6" fillId="0" borderId="17" xfId="0" applyFont="1" applyBorder="1"/>
    <xf numFmtId="164" fontId="3" fillId="0" borderId="17" xfId="1" applyNumberFormat="1" applyFont="1" applyBorder="1"/>
    <xf numFmtId="3" fontId="7" fillId="3" borderId="15" xfId="0" applyNumberFormat="1" applyFont="1" applyFill="1" applyBorder="1"/>
    <xf numFmtId="0" fontId="7" fillId="0" borderId="19" xfId="0" applyFont="1" applyBorder="1"/>
    <xf numFmtId="0" fontId="7" fillId="0" borderId="20" xfId="0" applyFont="1" applyBorder="1"/>
    <xf numFmtId="164" fontId="2" fillId="0" borderId="20" xfId="0" applyNumberFormat="1" applyFont="1" applyBorder="1"/>
    <xf numFmtId="3" fontId="7" fillId="3" borderId="18" xfId="0" applyNumberFormat="1" applyFont="1" applyFill="1" applyBorder="1"/>
    <xf numFmtId="3" fontId="2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9" fontId="3" fillId="0" borderId="0" xfId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9" fontId="8" fillId="3" borderId="1" xfId="1" applyFont="1" applyFill="1" applyBorder="1"/>
    <xf numFmtId="3" fontId="4" fillId="0" borderId="2" xfId="0" applyNumberFormat="1" applyFont="1" applyBorder="1"/>
    <xf numFmtId="3" fontId="7" fillId="3" borderId="7" xfId="0" applyNumberFormat="1" applyFont="1" applyFill="1" applyBorder="1"/>
    <xf numFmtId="164" fontId="3" fillId="3" borderId="7" xfId="1" applyNumberFormat="1" applyFont="1" applyFill="1" applyBorder="1"/>
    <xf numFmtId="164" fontId="3" fillId="3" borderId="9" xfId="1" applyNumberFormat="1" applyFont="1" applyFill="1" applyBorder="1"/>
    <xf numFmtId="166" fontId="4" fillId="0" borderId="0" xfId="0" applyNumberFormat="1" applyFont="1" applyAlignment="1">
      <alignment horizontal="center"/>
    </xf>
    <xf numFmtId="0" fontId="13" fillId="2" borderId="4" xfId="0" applyFont="1" applyFill="1" applyBorder="1"/>
    <xf numFmtId="0" fontId="13" fillId="2" borderId="2" xfId="0" applyFont="1" applyFill="1" applyBorder="1" applyAlignment="1">
      <alignment horizontal="right"/>
    </xf>
    <xf numFmtId="3" fontId="13" fillId="2" borderId="2" xfId="0" applyNumberFormat="1" applyFont="1" applyFill="1" applyBorder="1" applyAlignment="1">
      <alignment horizontal="left"/>
    </xf>
    <xf numFmtId="3" fontId="13" fillId="2" borderId="3" xfId="0" applyNumberFormat="1" applyFont="1" applyFill="1" applyBorder="1"/>
    <xf numFmtId="3" fontId="5" fillId="3" borderId="2" xfId="0" applyNumberFormat="1" applyFont="1" applyFill="1" applyBorder="1"/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0" fillId="0" borderId="0" xfId="1" applyNumberFormat="1" applyFont="1"/>
    <xf numFmtId="0" fontId="2" fillId="2" borderId="2" xfId="0" applyFont="1" applyFill="1" applyBorder="1"/>
    <xf numFmtId="3" fontId="7" fillId="2" borderId="5" xfId="0" applyNumberFormat="1" applyFont="1" applyFill="1" applyBorder="1" applyAlignment="1">
      <alignment horizontal="right"/>
    </xf>
    <xf numFmtId="0" fontId="8" fillId="0" borderId="1" xfId="0" applyFont="1" applyBorder="1"/>
    <xf numFmtId="0" fontId="16" fillId="0" borderId="0" xfId="0" applyFont="1"/>
    <xf numFmtId="0" fontId="7" fillId="0" borderId="1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9" fontId="7" fillId="0" borderId="10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9" fontId="7" fillId="0" borderId="11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164" fontId="9" fillId="0" borderId="7" xfId="1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3" borderId="0" xfId="0" applyFont="1" applyFill="1"/>
    <xf numFmtId="9" fontId="3" fillId="0" borderId="1" xfId="1" applyFont="1" applyBorder="1" applyAlignment="1">
      <alignment horizontal="right"/>
    </xf>
    <xf numFmtId="9" fontId="3" fillId="0" borderId="0" xfId="1" applyFont="1" applyBorder="1" applyAlignment="1">
      <alignment horizontal="right"/>
    </xf>
    <xf numFmtId="0" fontId="6" fillId="0" borderId="0" xfId="0" applyFont="1" applyBorder="1"/>
    <xf numFmtId="0" fontId="2" fillId="0" borderId="0" xfId="0" applyFont="1" applyBorder="1"/>
    <xf numFmtId="0" fontId="7" fillId="0" borderId="0" xfId="0" applyFont="1" applyBorder="1"/>
    <xf numFmtId="3" fontId="6" fillId="0" borderId="0" xfId="0" applyNumberFormat="1" applyFont="1" applyBorder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642938</xdr:colOff>
      <xdr:row>13</xdr:row>
      <xdr:rowOff>33337</xdr:rowOff>
    </xdr:from>
    <xdr:to>
      <xdr:col>7</xdr:col>
      <xdr:colOff>762000</xdr:colOff>
      <xdr:row>13</xdr:row>
      <xdr:rowOff>266700</xdr:rowOff>
    </xdr:to>
    <xdr:sp macro="" textlink="">
      <xdr:nvSpPr>
        <xdr:cNvPr id="6" name="Pil: nedåt 5">
          <a:extLst>
            <a:ext uri="{FF2B5EF4-FFF2-40B4-BE49-F238E27FC236}">
              <a16:creationId xmlns:a16="http://schemas.microsoft.com/office/drawing/2014/main" id="{60E2CF72-F6FD-4C94-9B21-6AD3FBB5F403}"/>
            </a:ext>
          </a:extLst>
        </xdr:cNvPr>
        <xdr:cNvSpPr/>
      </xdr:nvSpPr>
      <xdr:spPr>
        <a:xfrm>
          <a:off x="7196138" y="3690937"/>
          <a:ext cx="119062" cy="233363"/>
        </a:xfrm>
        <a:prstGeom prst="down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3C91D-E6AE-42EA-AA1F-BB6D0D3D9125}">
  <dimension ref="A1:U87"/>
  <sheetViews>
    <sheetView showGridLines="0" tabSelected="1" zoomScale="40" zoomScaleNormal="40" workbookViewId="0">
      <selection activeCell="N54" sqref="N54"/>
    </sheetView>
  </sheetViews>
  <sheetFormatPr defaultColWidth="9.1796875" defaultRowHeight="23.5" x14ac:dyDescent="0.55000000000000004"/>
  <cols>
    <col min="1" max="1" width="8.81640625" style="3" customWidth="1"/>
    <col min="2" max="2" width="14.81640625" style="3" customWidth="1"/>
    <col min="3" max="3" width="48.7265625" style="3" customWidth="1"/>
    <col min="4" max="4" width="8.81640625" style="3" customWidth="1"/>
    <col min="5" max="5" width="11.7265625" style="3" customWidth="1"/>
    <col min="6" max="6" width="10.54296875" style="3" customWidth="1"/>
    <col min="7" max="7" width="10.54296875" style="1" customWidth="1"/>
    <col min="8" max="8" width="15.7265625" style="5" customWidth="1"/>
    <col min="9" max="9" width="9.453125" style="33" customWidth="1"/>
    <col min="10" max="10" width="1.81640625" style="3" customWidth="1"/>
    <col min="11" max="11" width="3.7265625" style="3" customWidth="1"/>
    <col min="12" max="12" width="32.453125" style="3" customWidth="1"/>
    <col min="13" max="13" width="10" style="4" customWidth="1"/>
    <col min="14" max="14" width="18.7265625" style="4" bestFit="1" customWidth="1"/>
    <col min="15" max="15" width="54.453125" style="3" customWidth="1"/>
    <col min="16" max="16" width="9.1796875" style="4"/>
    <col min="17" max="17" width="13.26953125" style="4" customWidth="1"/>
    <col min="18" max="18" width="9.1796875" style="3"/>
    <col min="19" max="19" width="11.26953125" style="3" customWidth="1"/>
    <col min="20" max="20" width="9.1796875" style="3"/>
    <col min="21" max="21" width="18.81640625" style="3" bestFit="1" customWidth="1"/>
    <col min="22" max="26" width="9.1796875" style="3"/>
    <col min="27" max="27" width="9.81640625" style="3" bestFit="1" customWidth="1"/>
    <col min="28" max="16384" width="9.1796875" style="3"/>
  </cols>
  <sheetData>
    <row r="1" spans="1:12" x14ac:dyDescent="0.55000000000000004">
      <c r="C1" s="5" t="s">
        <v>78</v>
      </c>
    </row>
    <row r="2" spans="1:12" ht="18.75" customHeight="1" x14ac:dyDescent="0.55000000000000004">
      <c r="D2" s="16" t="s">
        <v>46</v>
      </c>
      <c r="E2" s="16" t="s">
        <v>47</v>
      </c>
      <c r="F2" s="16" t="s">
        <v>48</v>
      </c>
      <c r="G2" s="17" t="s">
        <v>28</v>
      </c>
    </row>
    <row r="3" spans="1:12" x14ac:dyDescent="0.55000000000000004">
      <c r="A3" s="1"/>
      <c r="C3" s="14" t="s">
        <v>26</v>
      </c>
      <c r="D3" s="84">
        <v>150</v>
      </c>
      <c r="E3" s="93">
        <f>1588000/150</f>
        <v>10586.666666666666</v>
      </c>
      <c r="F3" s="84">
        <f>+E3*D3/1000</f>
        <v>1588</v>
      </c>
      <c r="G3" s="18">
        <v>5</v>
      </c>
      <c r="H3" s="65" t="s">
        <v>5</v>
      </c>
      <c r="I3" s="79" t="s">
        <v>30</v>
      </c>
      <c r="J3" s="34"/>
      <c r="K3" s="34"/>
      <c r="L3" s="118" t="s">
        <v>66</v>
      </c>
    </row>
    <row r="4" spans="1:12" x14ac:dyDescent="0.55000000000000004">
      <c r="A4" s="61"/>
      <c r="C4" s="13" t="s">
        <v>33</v>
      </c>
      <c r="D4" s="84">
        <f>+D3</f>
        <v>150</v>
      </c>
      <c r="E4" s="93"/>
      <c r="F4" s="84">
        <f>+E4*D4/1000</f>
        <v>0</v>
      </c>
      <c r="G4" s="38"/>
      <c r="H4" s="66">
        <f>+(F3+F4)*G3+2841-1</f>
        <v>10780</v>
      </c>
      <c r="I4" s="80"/>
      <c r="L4" s="37"/>
    </row>
    <row r="5" spans="1:12" x14ac:dyDescent="0.55000000000000004">
      <c r="A5" s="61"/>
      <c r="C5" s="62" t="s">
        <v>7</v>
      </c>
      <c r="D5" s="63"/>
      <c r="E5" s="63"/>
      <c r="F5" s="63"/>
      <c r="G5" s="64">
        <f>+H5/H4</f>
        <v>-0.32</v>
      </c>
      <c r="H5" s="67">
        <f>-H4*0.32+F5</f>
        <v>-3449.6</v>
      </c>
      <c r="I5" s="2" t="s">
        <v>79</v>
      </c>
      <c r="L5" s="1"/>
    </row>
    <row r="6" spans="1:12" ht="24" thickBot="1" x14ac:dyDescent="0.6">
      <c r="A6" s="61"/>
      <c r="C6" s="70" t="s">
        <v>71</v>
      </c>
      <c r="D6" s="71"/>
      <c r="E6" s="71"/>
      <c r="F6" s="71"/>
      <c r="G6" s="72">
        <f>+H6/$H$4</f>
        <v>-0.17161410018552875</v>
      </c>
      <c r="H6" s="73">
        <f>-1850+F6</f>
        <v>-1850</v>
      </c>
      <c r="I6" s="2" t="s">
        <v>80</v>
      </c>
      <c r="L6" s="1"/>
    </row>
    <row r="7" spans="1:12" ht="24" thickBot="1" x14ac:dyDescent="0.6">
      <c r="A7" s="61"/>
      <c r="C7" s="74" t="s">
        <v>4</v>
      </c>
      <c r="D7" s="75"/>
      <c r="E7" s="75"/>
      <c r="F7" s="75"/>
      <c r="G7" s="76"/>
      <c r="H7" s="77">
        <f>SUM(H4:H6)</f>
        <v>5480.4</v>
      </c>
      <c r="I7" s="81">
        <f>+H7/$H$4</f>
        <v>0.50838589981447124</v>
      </c>
      <c r="J7" s="2"/>
      <c r="K7" s="2"/>
      <c r="L7" s="1"/>
    </row>
    <row r="8" spans="1:12" x14ac:dyDescent="0.55000000000000004">
      <c r="A8" s="99" t="s">
        <v>64</v>
      </c>
      <c r="C8" s="27" t="s">
        <v>60</v>
      </c>
      <c r="G8" s="6">
        <f t="shared" ref="G8:G11" si="0">+H8/$H$4</f>
        <v>-0.18367346938775511</v>
      </c>
      <c r="H8" s="22">
        <v>-1980</v>
      </c>
      <c r="I8" s="2" t="s">
        <v>80</v>
      </c>
      <c r="J8" s="4"/>
      <c r="K8" s="4"/>
      <c r="L8" s="1"/>
    </row>
    <row r="9" spans="1:12" x14ac:dyDescent="0.55000000000000004">
      <c r="A9" s="61"/>
      <c r="C9" s="27" t="s">
        <v>31</v>
      </c>
      <c r="G9" s="6">
        <f t="shared" si="0"/>
        <v>-0.12987012987012986</v>
      </c>
      <c r="H9" s="22">
        <v>-1400</v>
      </c>
      <c r="I9" s="2" t="s">
        <v>80</v>
      </c>
      <c r="J9" s="4"/>
      <c r="K9" s="4"/>
    </row>
    <row r="10" spans="1:12" x14ac:dyDescent="0.55000000000000004">
      <c r="A10" s="61"/>
      <c r="C10" s="27" t="s">
        <v>0</v>
      </c>
      <c r="G10" s="6">
        <f t="shared" si="0"/>
        <v>-0.10207142857142856</v>
      </c>
      <c r="H10" s="22">
        <f>-Kapital!D10</f>
        <v>-1100.33</v>
      </c>
      <c r="I10" s="2" t="s">
        <v>80</v>
      </c>
      <c r="J10" s="4"/>
      <c r="K10" s="4"/>
    </row>
    <row r="11" spans="1:12" x14ac:dyDescent="0.55000000000000004">
      <c r="A11" s="61"/>
      <c r="C11" s="31" t="s">
        <v>25</v>
      </c>
      <c r="D11" s="29">
        <v>15000</v>
      </c>
      <c r="E11" s="1" t="s">
        <v>59</v>
      </c>
      <c r="F11" s="83">
        <v>0.04</v>
      </c>
      <c r="G11" s="21">
        <f t="shared" si="0"/>
        <v>-5.5658627087198514E-2</v>
      </c>
      <c r="H11" s="68">
        <f>-F11*D11</f>
        <v>-600</v>
      </c>
      <c r="I11" s="2" t="s">
        <v>80</v>
      </c>
      <c r="J11" s="4"/>
      <c r="K11" s="4"/>
      <c r="L11" s="37"/>
    </row>
    <row r="12" spans="1:12" ht="26" x14ac:dyDescent="0.6">
      <c r="A12" s="61"/>
      <c r="C12" s="89" t="s">
        <v>1</v>
      </c>
      <c r="D12" s="90"/>
      <c r="E12" s="90" t="s">
        <v>55</v>
      </c>
      <c r="F12" s="91">
        <f>+H12+920</f>
        <v>1320.0699999999997</v>
      </c>
      <c r="G12" s="90" t="s">
        <v>56</v>
      </c>
      <c r="H12" s="92">
        <f>SUM(H7:H11)</f>
        <v>400.06999999999971</v>
      </c>
      <c r="I12" s="82">
        <f>+H12/$H$4</f>
        <v>3.7112244897959154E-2</v>
      </c>
      <c r="J12" s="2" t="s">
        <v>70</v>
      </c>
      <c r="K12" s="2"/>
      <c r="L12" s="1"/>
    </row>
    <row r="13" spans="1:12" x14ac:dyDescent="0.55000000000000004">
      <c r="A13" s="61"/>
      <c r="G13" s="3"/>
      <c r="H13" s="3"/>
      <c r="I13" s="3"/>
      <c r="J13" s="2"/>
      <c r="K13" s="2"/>
      <c r="L13" s="1"/>
    </row>
    <row r="14" spans="1:12" x14ac:dyDescent="0.55000000000000004">
      <c r="A14" s="61"/>
      <c r="C14" s="14" t="s">
        <v>57</v>
      </c>
      <c r="D14" s="15"/>
      <c r="E14" s="100"/>
      <c r="F14" s="100"/>
      <c r="G14" s="100"/>
      <c r="H14" s="101"/>
      <c r="I14" s="80"/>
      <c r="L14" s="1"/>
    </row>
    <row r="15" spans="1:12" x14ac:dyDescent="0.55000000000000004">
      <c r="A15" s="61"/>
      <c r="C15" s="13" t="s">
        <v>58</v>
      </c>
      <c r="D15" s="46"/>
      <c r="E15" s="8"/>
      <c r="F15" s="8"/>
      <c r="G15" s="19"/>
      <c r="H15" s="66">
        <f>-H10</f>
        <v>1100.33</v>
      </c>
      <c r="I15" s="80"/>
      <c r="L15" s="1"/>
    </row>
    <row r="16" spans="1:12" x14ac:dyDescent="0.55000000000000004">
      <c r="A16" s="61"/>
      <c r="C16" s="13" t="s">
        <v>2</v>
      </c>
      <c r="D16" s="46"/>
      <c r="E16" s="9"/>
      <c r="F16" s="9"/>
      <c r="G16" s="26"/>
      <c r="H16" s="66">
        <f>+H12+H15</f>
        <v>1500.3999999999996</v>
      </c>
      <c r="I16" s="80"/>
      <c r="L16"/>
    </row>
    <row r="17" spans="1:17" x14ac:dyDescent="0.55000000000000004">
      <c r="A17" s="61"/>
      <c r="C17" s="27" t="s">
        <v>29</v>
      </c>
      <c r="E17" s="6"/>
      <c r="F17" s="6"/>
      <c r="G17" s="28">
        <f t="shared" ref="G17" si="1">+H17/$H$4</f>
        <v>-6.3079777365491647E-3</v>
      </c>
      <c r="H17" s="22">
        <v>-68</v>
      </c>
      <c r="I17" s="80"/>
      <c r="J17" s="4"/>
      <c r="K17" s="4"/>
      <c r="L17" s="1"/>
    </row>
    <row r="18" spans="1:17" x14ac:dyDescent="0.55000000000000004">
      <c r="A18" s="61"/>
      <c r="C18" s="27" t="s">
        <v>17</v>
      </c>
      <c r="D18" s="78">
        <v>15000</v>
      </c>
      <c r="E18" s="1" t="s">
        <v>67</v>
      </c>
      <c r="F18" s="29"/>
      <c r="G18" s="28">
        <v>0.06</v>
      </c>
      <c r="H18" s="22">
        <f>-G18*D18</f>
        <v>-900</v>
      </c>
      <c r="I18" s="88">
        <f>D18/-(H18+H20)</f>
        <v>16.666666666666668</v>
      </c>
      <c r="J18" s="4" t="s">
        <v>32</v>
      </c>
      <c r="K18" s="4"/>
      <c r="L18" s="1"/>
    </row>
    <row r="19" spans="1:17" x14ac:dyDescent="0.55000000000000004">
      <c r="A19" s="61"/>
      <c r="C19" s="27" t="s">
        <v>45</v>
      </c>
      <c r="E19" s="29"/>
      <c r="F19" s="29"/>
      <c r="G19" s="29">
        <v>0</v>
      </c>
      <c r="H19" s="22">
        <f>-Kapital!F10+G19</f>
        <v>-900</v>
      </c>
      <c r="I19" s="33" t="s">
        <v>68</v>
      </c>
      <c r="J19" s="4"/>
      <c r="K19" s="4"/>
      <c r="L19" s="1"/>
    </row>
    <row r="20" spans="1:17" x14ac:dyDescent="0.55000000000000004">
      <c r="A20" s="11"/>
      <c r="C20" s="27" t="s">
        <v>3</v>
      </c>
      <c r="E20" s="2"/>
      <c r="F20" s="2"/>
      <c r="G20" s="30"/>
      <c r="H20" s="22">
        <f>+F20</f>
        <v>0</v>
      </c>
      <c r="I20" s="32"/>
      <c r="J20" s="4"/>
      <c r="K20" s="4"/>
    </row>
    <row r="21" spans="1:17" x14ac:dyDescent="0.55000000000000004">
      <c r="A21" s="10"/>
      <c r="C21" s="27" t="s">
        <v>83</v>
      </c>
      <c r="E21" s="2"/>
      <c r="F21" s="120" t="s">
        <v>81</v>
      </c>
      <c r="G21" s="86"/>
      <c r="H21" s="85">
        <f>SUM(H5:H6)*G21</f>
        <v>0</v>
      </c>
      <c r="I21" s="36"/>
      <c r="J21" s="4"/>
      <c r="K21" s="4"/>
    </row>
    <row r="22" spans="1:17" x14ac:dyDescent="0.55000000000000004">
      <c r="A22" s="10"/>
      <c r="C22" s="31" t="s">
        <v>82</v>
      </c>
      <c r="E22" s="102"/>
      <c r="F22" s="119" t="s">
        <v>81</v>
      </c>
      <c r="G22" s="87"/>
      <c r="H22" s="68">
        <f>-G22*H4</f>
        <v>0</v>
      </c>
      <c r="I22" s="98">
        <f>+H22*5</f>
        <v>0</v>
      </c>
      <c r="J22" s="4" t="s">
        <v>65</v>
      </c>
      <c r="K22" s="4"/>
    </row>
    <row r="23" spans="1:17" x14ac:dyDescent="0.55000000000000004">
      <c r="A23" s="10"/>
      <c r="C23" s="14" t="s">
        <v>69</v>
      </c>
      <c r="D23" s="47"/>
      <c r="E23" s="23"/>
      <c r="F23" s="23"/>
      <c r="G23" s="23"/>
      <c r="H23" s="25">
        <f>SUM(H16:H22)</f>
        <v>-367.60000000000036</v>
      </c>
      <c r="I23" s="82">
        <f>-I22/H4</f>
        <v>0</v>
      </c>
      <c r="J23" s="4" t="s">
        <v>84</v>
      </c>
    </row>
    <row r="24" spans="1:17" x14ac:dyDescent="0.55000000000000004">
      <c r="E24" s="6"/>
      <c r="F24" s="6"/>
      <c r="G24" s="6"/>
      <c r="H24" s="69"/>
    </row>
    <row r="26" spans="1:17" x14ac:dyDescent="0.55000000000000004">
      <c r="H26" s="69"/>
      <c r="I26" s="35"/>
    </row>
    <row r="28" spans="1:17" x14ac:dyDescent="0.55000000000000004">
      <c r="P28" s="3"/>
      <c r="Q28" s="1"/>
    </row>
    <row r="29" spans="1:17" x14ac:dyDescent="0.55000000000000004">
      <c r="P29" s="3"/>
      <c r="Q29" s="1"/>
    </row>
    <row r="30" spans="1:17" x14ac:dyDescent="0.55000000000000004">
      <c r="P30" s="3"/>
      <c r="Q30" s="1"/>
    </row>
    <row r="31" spans="1:17" x14ac:dyDescent="0.55000000000000004">
      <c r="P31" s="3"/>
      <c r="Q31" s="1"/>
    </row>
    <row r="32" spans="1:17" x14ac:dyDescent="0.55000000000000004">
      <c r="P32" s="3"/>
      <c r="Q32" s="1"/>
    </row>
    <row r="33" spans="7:17" x14ac:dyDescent="0.55000000000000004">
      <c r="P33" s="3"/>
      <c r="Q33" s="1"/>
    </row>
    <row r="34" spans="7:17" x14ac:dyDescent="0.55000000000000004">
      <c r="G34" s="3"/>
      <c r="P34" s="3"/>
      <c r="Q34" s="1"/>
    </row>
    <row r="35" spans="7:17" x14ac:dyDescent="0.55000000000000004">
      <c r="G35" s="3"/>
      <c r="P35" s="3"/>
      <c r="Q35" s="1"/>
    </row>
    <row r="36" spans="7:17" x14ac:dyDescent="0.55000000000000004">
      <c r="P36" s="3"/>
      <c r="Q36" s="1"/>
    </row>
    <row r="37" spans="7:17" x14ac:dyDescent="0.55000000000000004">
      <c r="P37" s="3"/>
      <c r="Q37" s="1"/>
    </row>
    <row r="38" spans="7:17" x14ac:dyDescent="0.55000000000000004">
      <c r="P38" s="3"/>
      <c r="Q38" s="1"/>
    </row>
    <row r="39" spans="7:17" x14ac:dyDescent="0.55000000000000004">
      <c r="P39" s="3"/>
      <c r="Q39" s="1"/>
    </row>
    <row r="40" spans="7:17" x14ac:dyDescent="0.55000000000000004">
      <c r="H40" s="69"/>
      <c r="P40" s="3"/>
      <c r="Q40" s="1"/>
    </row>
    <row r="41" spans="7:17" x14ac:dyDescent="0.55000000000000004">
      <c r="P41" s="3"/>
      <c r="Q41" s="1"/>
    </row>
    <row r="42" spans="7:17" x14ac:dyDescent="0.55000000000000004">
      <c r="P42" s="3"/>
      <c r="Q42" s="1"/>
    </row>
    <row r="43" spans="7:17" x14ac:dyDescent="0.55000000000000004">
      <c r="H43" s="69"/>
      <c r="P43" s="3"/>
      <c r="Q43" s="1"/>
    </row>
    <row r="44" spans="7:17" x14ac:dyDescent="0.55000000000000004">
      <c r="P44" s="3"/>
      <c r="Q44" s="1"/>
    </row>
    <row r="45" spans="7:17" x14ac:dyDescent="0.55000000000000004">
      <c r="P45" s="3"/>
      <c r="Q45" s="1"/>
    </row>
    <row r="46" spans="7:17" x14ac:dyDescent="0.55000000000000004">
      <c r="P46" s="3"/>
      <c r="Q46" s="1"/>
    </row>
    <row r="47" spans="7:17" x14ac:dyDescent="0.55000000000000004">
      <c r="P47" s="3"/>
      <c r="Q47" s="1"/>
    </row>
    <row r="48" spans="7:17" x14ac:dyDescent="0.55000000000000004">
      <c r="P48" s="3"/>
      <c r="Q48" s="1"/>
    </row>
    <row r="49" spans="15:21" x14ac:dyDescent="0.55000000000000004">
      <c r="P49" s="3"/>
      <c r="Q49" s="1"/>
    </row>
    <row r="50" spans="15:21" x14ac:dyDescent="0.55000000000000004">
      <c r="P50" s="3"/>
      <c r="Q50" s="1"/>
    </row>
    <row r="51" spans="15:21" x14ac:dyDescent="0.55000000000000004">
      <c r="P51" s="3"/>
      <c r="Q51" s="1"/>
    </row>
    <row r="52" spans="15:21" x14ac:dyDescent="0.55000000000000004">
      <c r="P52" s="3"/>
      <c r="Q52" s="1"/>
    </row>
    <row r="53" spans="15:21" x14ac:dyDescent="0.55000000000000004">
      <c r="P53" s="3"/>
      <c r="Q53" s="1"/>
    </row>
    <row r="54" spans="15:21" x14ac:dyDescent="0.55000000000000004">
      <c r="P54" s="3"/>
      <c r="Q54" s="1"/>
    </row>
    <row r="55" spans="15:21" x14ac:dyDescent="0.55000000000000004">
      <c r="P55" s="3"/>
      <c r="Q55" s="1"/>
    </row>
    <row r="56" spans="15:21" x14ac:dyDescent="0.55000000000000004">
      <c r="P56" s="3"/>
      <c r="Q56" s="1"/>
    </row>
    <row r="57" spans="15:21" x14ac:dyDescent="0.55000000000000004">
      <c r="P57" s="3"/>
      <c r="Q57" s="1"/>
    </row>
    <row r="58" spans="15:21" x14ac:dyDescent="0.55000000000000004">
      <c r="P58" s="3"/>
      <c r="Q58" s="1"/>
    </row>
    <row r="59" spans="15:21" x14ac:dyDescent="0.55000000000000004">
      <c r="O59" s="121"/>
      <c r="P59" s="121"/>
      <c r="Q59" s="122"/>
      <c r="R59" s="121"/>
      <c r="S59" s="121"/>
      <c r="T59" s="121"/>
      <c r="U59" s="121"/>
    </row>
    <row r="60" spans="15:21" x14ac:dyDescent="0.55000000000000004">
      <c r="O60" s="121"/>
      <c r="P60" s="123"/>
      <c r="Q60" s="124"/>
      <c r="R60" s="124"/>
      <c r="S60" s="123"/>
      <c r="T60" s="124"/>
      <c r="U60" s="124"/>
    </row>
    <row r="61" spans="15:21" x14ac:dyDescent="0.55000000000000004">
      <c r="O61" s="121"/>
      <c r="P61" s="121"/>
      <c r="Q61" s="124"/>
      <c r="R61" s="124"/>
      <c r="S61" s="121"/>
      <c r="T61" s="124"/>
      <c r="U61" s="124"/>
    </row>
    <row r="62" spans="15:21" x14ac:dyDescent="0.55000000000000004">
      <c r="O62" s="121"/>
      <c r="P62" s="121"/>
      <c r="Q62" s="124"/>
      <c r="R62" s="124"/>
      <c r="S62" s="121"/>
      <c r="T62" s="124"/>
      <c r="U62" s="124"/>
    </row>
    <row r="63" spans="15:21" x14ac:dyDescent="0.55000000000000004">
      <c r="P63" s="3"/>
      <c r="R63" s="4"/>
      <c r="T63" s="4"/>
      <c r="U63" s="4"/>
    </row>
    <row r="64" spans="15:21" x14ac:dyDescent="0.55000000000000004">
      <c r="P64" s="3"/>
      <c r="R64" s="4"/>
      <c r="T64" s="4"/>
      <c r="U64" s="4"/>
    </row>
    <row r="65" spans="16:21" x14ac:dyDescent="0.55000000000000004">
      <c r="P65" s="3"/>
      <c r="R65" s="4"/>
      <c r="T65" s="4"/>
      <c r="U65" s="4"/>
    </row>
    <row r="66" spans="16:21" x14ac:dyDescent="0.55000000000000004">
      <c r="P66" s="3"/>
      <c r="R66" s="4"/>
      <c r="T66" s="4"/>
      <c r="U66" s="4"/>
    </row>
    <row r="67" spans="16:21" x14ac:dyDescent="0.55000000000000004">
      <c r="P67" s="5"/>
      <c r="R67" s="4"/>
      <c r="T67" s="4"/>
      <c r="U67" s="4"/>
    </row>
    <row r="68" spans="16:21" x14ac:dyDescent="0.55000000000000004">
      <c r="P68" s="3"/>
      <c r="R68" s="4"/>
      <c r="T68" s="4"/>
      <c r="U68" s="4"/>
    </row>
    <row r="69" spans="16:21" x14ac:dyDescent="0.55000000000000004">
      <c r="P69" s="3"/>
      <c r="R69" s="4"/>
      <c r="T69" s="4"/>
      <c r="U69" s="4"/>
    </row>
    <row r="70" spans="16:21" x14ac:dyDescent="0.55000000000000004">
      <c r="P70" s="3"/>
      <c r="R70" s="4"/>
      <c r="T70" s="4"/>
      <c r="U70" s="4"/>
    </row>
    <row r="71" spans="16:21" x14ac:dyDescent="0.55000000000000004">
      <c r="P71" s="3"/>
      <c r="R71" s="4"/>
      <c r="T71" s="4"/>
      <c r="U71" s="4"/>
    </row>
    <row r="72" spans="16:21" x14ac:dyDescent="0.55000000000000004">
      <c r="P72" s="3"/>
      <c r="R72" s="4"/>
      <c r="T72" s="4"/>
      <c r="U72" s="4"/>
    </row>
    <row r="73" spans="16:21" x14ac:dyDescent="0.55000000000000004">
      <c r="P73" s="3"/>
      <c r="R73" s="4"/>
      <c r="T73" s="4"/>
      <c r="U73" s="4"/>
    </row>
    <row r="74" spans="16:21" x14ac:dyDescent="0.55000000000000004">
      <c r="P74" s="3"/>
      <c r="R74" s="4"/>
      <c r="T74" s="4"/>
      <c r="U74" s="4"/>
    </row>
    <row r="75" spans="16:21" x14ac:dyDescent="0.55000000000000004">
      <c r="P75" s="3"/>
      <c r="Q75" s="3"/>
    </row>
    <row r="76" spans="16:21" x14ac:dyDescent="0.55000000000000004">
      <c r="P76" s="3"/>
      <c r="Q76" s="3"/>
    </row>
    <row r="77" spans="16:21" x14ac:dyDescent="0.55000000000000004">
      <c r="P77" s="3"/>
      <c r="Q77" s="3"/>
    </row>
    <row r="78" spans="16:21" x14ac:dyDescent="0.55000000000000004">
      <c r="P78" s="3"/>
      <c r="Q78" s="3"/>
    </row>
    <row r="79" spans="16:21" x14ac:dyDescent="0.55000000000000004">
      <c r="P79" s="3"/>
      <c r="Q79" s="3"/>
    </row>
    <row r="80" spans="16:21" x14ac:dyDescent="0.55000000000000004">
      <c r="P80" s="3"/>
      <c r="Q80" s="3"/>
    </row>
    <row r="81" spans="16:21" x14ac:dyDescent="0.55000000000000004">
      <c r="P81" s="3"/>
      <c r="Q81" s="3"/>
    </row>
    <row r="82" spans="16:21" x14ac:dyDescent="0.55000000000000004">
      <c r="P82" s="3"/>
      <c r="Q82" s="3"/>
    </row>
    <row r="83" spans="16:21" x14ac:dyDescent="0.55000000000000004">
      <c r="P83" s="3"/>
      <c r="Q83" s="3"/>
    </row>
    <row r="84" spans="16:21" x14ac:dyDescent="0.55000000000000004">
      <c r="P84" s="3"/>
      <c r="Q84" s="3"/>
      <c r="R84" s="4"/>
      <c r="S84" s="4"/>
      <c r="T84" s="4"/>
      <c r="U84" s="4"/>
    </row>
    <row r="85" spans="16:21" x14ac:dyDescent="0.55000000000000004">
      <c r="P85" s="3"/>
      <c r="Q85" s="3"/>
      <c r="R85" s="4"/>
      <c r="S85" s="4"/>
      <c r="T85" s="4"/>
      <c r="U85" s="4"/>
    </row>
    <row r="86" spans="16:21" x14ac:dyDescent="0.55000000000000004">
      <c r="P86" s="3"/>
      <c r="Q86" s="3"/>
      <c r="R86" s="4"/>
      <c r="S86" s="4"/>
      <c r="T86" s="4"/>
      <c r="U86" s="12"/>
    </row>
    <row r="87" spans="16:21" x14ac:dyDescent="0.55000000000000004">
      <c r="P87" s="3"/>
      <c r="Q87" s="3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BEAF-EB17-45A9-98ED-56611285F325}">
  <dimension ref="A1:L13"/>
  <sheetViews>
    <sheetView zoomScaleNormal="100" workbookViewId="0"/>
  </sheetViews>
  <sheetFormatPr defaultRowHeight="14.5" x14ac:dyDescent="0.35"/>
  <cols>
    <col min="1" max="1" width="31.7265625" customWidth="1"/>
    <col min="2" max="2" width="12.26953125" bestFit="1" customWidth="1"/>
    <col min="3" max="3" width="9.81640625" bestFit="1" customWidth="1"/>
    <col min="4" max="4" width="9.54296875" bestFit="1" customWidth="1"/>
    <col min="5" max="5" width="15" customWidth="1"/>
    <col min="6" max="6" width="15" bestFit="1" customWidth="1"/>
    <col min="7" max="7" width="11.81640625" bestFit="1" customWidth="1"/>
    <col min="8" max="8" width="6.54296875" customWidth="1"/>
    <col min="9" max="9" width="16.81640625" bestFit="1" customWidth="1"/>
    <col min="10" max="10" width="16.1796875" customWidth="1"/>
    <col min="11" max="11" width="9.54296875" bestFit="1" customWidth="1"/>
    <col min="12" max="12" width="16" bestFit="1" customWidth="1"/>
  </cols>
  <sheetData>
    <row r="1" spans="1:12" ht="23.5" x14ac:dyDescent="0.55000000000000004">
      <c r="A1" s="103" t="s">
        <v>72</v>
      </c>
      <c r="B1" s="58">
        <v>150</v>
      </c>
      <c r="C1" s="59" t="s">
        <v>46</v>
      </c>
      <c r="I1" s="58">
        <v>270</v>
      </c>
      <c r="J1" s="59" t="s">
        <v>46</v>
      </c>
    </row>
    <row r="2" spans="1:12" ht="23.5" x14ac:dyDescent="0.55000000000000004">
      <c r="B2" s="51" t="s">
        <v>36</v>
      </c>
      <c r="C2" s="39"/>
      <c r="D2" s="39"/>
      <c r="E2" s="39" t="s">
        <v>34</v>
      </c>
      <c r="F2" s="39" t="s">
        <v>34</v>
      </c>
      <c r="G2" s="51" t="s">
        <v>36</v>
      </c>
      <c r="I2" s="51" t="s">
        <v>41</v>
      </c>
      <c r="J2" s="39" t="s">
        <v>34</v>
      </c>
      <c r="L2" s="51" t="s">
        <v>36</v>
      </c>
    </row>
    <row r="3" spans="1:12" ht="23.5" x14ac:dyDescent="0.55000000000000004">
      <c r="B3" s="52" t="s">
        <v>37</v>
      </c>
      <c r="C3" s="39" t="s">
        <v>38</v>
      </c>
      <c r="D3" s="39" t="s">
        <v>38</v>
      </c>
      <c r="E3" s="39" t="s">
        <v>35</v>
      </c>
      <c r="F3" s="39" t="s">
        <v>35</v>
      </c>
      <c r="G3" s="52" t="s">
        <v>37</v>
      </c>
      <c r="I3" s="52" t="s">
        <v>44</v>
      </c>
      <c r="J3" s="39" t="s">
        <v>35</v>
      </c>
      <c r="K3" s="39" t="s">
        <v>38</v>
      </c>
      <c r="L3" s="52" t="s">
        <v>52</v>
      </c>
    </row>
    <row r="4" spans="1:12" ht="23.5" x14ac:dyDescent="0.55000000000000004">
      <c r="A4" s="48"/>
      <c r="B4" s="53">
        <v>2026</v>
      </c>
      <c r="C4" s="49" t="s">
        <v>39</v>
      </c>
      <c r="D4" s="49" t="s">
        <v>40</v>
      </c>
      <c r="E4" s="49" t="s">
        <v>43</v>
      </c>
      <c r="F4" s="49" t="s">
        <v>50</v>
      </c>
      <c r="G4" s="53">
        <v>2035</v>
      </c>
      <c r="I4" s="53">
        <v>2025</v>
      </c>
      <c r="J4" s="49" t="s">
        <v>40</v>
      </c>
      <c r="K4" s="49" t="s">
        <v>39</v>
      </c>
      <c r="L4" s="53">
        <v>2035</v>
      </c>
    </row>
    <row r="5" spans="1:12" ht="23.5" x14ac:dyDescent="0.55000000000000004">
      <c r="A5" s="33" t="s">
        <v>8</v>
      </c>
      <c r="B5" s="54">
        <v>5000</v>
      </c>
      <c r="C5" s="40">
        <v>0.04</v>
      </c>
      <c r="D5" s="4">
        <f>+C5*B5</f>
        <v>200</v>
      </c>
      <c r="E5" s="20">
        <v>0.1</v>
      </c>
      <c r="F5" s="4">
        <f>+B5*E5/10</f>
        <v>50</v>
      </c>
      <c r="G5" s="54">
        <f>+B5-D5*10</f>
        <v>3000</v>
      </c>
      <c r="I5" s="54">
        <v>7500</v>
      </c>
      <c r="J5" s="4">
        <f>+E5*I5/10</f>
        <v>75</v>
      </c>
      <c r="K5" s="4">
        <f>+I5*C5</f>
        <v>300</v>
      </c>
      <c r="L5" s="54">
        <f>+I5+G5</f>
        <v>10500</v>
      </c>
    </row>
    <row r="6" spans="1:12" ht="23.5" x14ac:dyDescent="0.55000000000000004">
      <c r="A6" s="33" t="s">
        <v>9</v>
      </c>
      <c r="B6" s="54">
        <v>5000</v>
      </c>
      <c r="C6" s="40">
        <v>6.6699999999999995E-2</v>
      </c>
      <c r="D6" s="4">
        <f>+C6*B6</f>
        <v>333.5</v>
      </c>
      <c r="E6" s="20">
        <v>0.5</v>
      </c>
      <c r="F6" s="4">
        <f>+B6*E6/10</f>
        <v>250</v>
      </c>
      <c r="G6" s="54">
        <f>+B6-D6*10</f>
        <v>1665</v>
      </c>
      <c r="I6" s="54">
        <v>7500</v>
      </c>
      <c r="J6" s="4">
        <f>+E6*I6/10</f>
        <v>375</v>
      </c>
      <c r="K6" s="4">
        <f>+I6*C6</f>
        <v>500.24999999999994</v>
      </c>
      <c r="L6" s="54">
        <f>+I6+G6</f>
        <v>9165</v>
      </c>
    </row>
    <row r="7" spans="1:12" ht="23.5" x14ac:dyDescent="0.55000000000000004">
      <c r="A7" s="33" t="s">
        <v>51</v>
      </c>
      <c r="B7" s="54">
        <v>5700</v>
      </c>
      <c r="C7" s="40">
        <v>8.1900000000000001E-2</v>
      </c>
      <c r="D7" s="4">
        <f>+C7*B7</f>
        <v>466.83</v>
      </c>
      <c r="E7" s="20">
        <v>1</v>
      </c>
      <c r="F7" s="4">
        <f>+B7*E7/10</f>
        <v>570</v>
      </c>
      <c r="G7" s="54">
        <f>+B7-D7*10</f>
        <v>1031.6999999999998</v>
      </c>
      <c r="I7" s="54">
        <v>7500</v>
      </c>
      <c r="J7" s="4">
        <f>+E7*I7/10</f>
        <v>750</v>
      </c>
      <c r="K7" s="4">
        <f>+I7*C7</f>
        <v>614.25</v>
      </c>
      <c r="L7" s="54">
        <f>+I7+G7</f>
        <v>8531.7000000000007</v>
      </c>
    </row>
    <row r="8" spans="1:12" ht="23.5" x14ac:dyDescent="0.55000000000000004">
      <c r="A8" s="33" t="s">
        <v>10</v>
      </c>
      <c r="B8" s="54">
        <v>1000</v>
      </c>
      <c r="C8" s="40">
        <v>0.1</v>
      </c>
      <c r="D8" s="4">
        <f>+C8*B8</f>
        <v>100</v>
      </c>
      <c r="E8" s="20">
        <v>0.3</v>
      </c>
      <c r="F8" s="4">
        <f>+B8*E8/10</f>
        <v>30</v>
      </c>
      <c r="G8" s="54">
        <f>+B8-D8*10</f>
        <v>0</v>
      </c>
      <c r="I8" s="54">
        <f>+B8*2</f>
        <v>2000</v>
      </c>
      <c r="J8" s="4">
        <f>+E8*I8/10</f>
        <v>60</v>
      </c>
      <c r="K8" s="4">
        <f>+I8*C8</f>
        <v>200</v>
      </c>
      <c r="L8" s="54">
        <f>+I8+G8</f>
        <v>2000</v>
      </c>
    </row>
    <row r="9" spans="1:12" ht="23.5" x14ac:dyDescent="0.55000000000000004">
      <c r="A9" s="42" t="s">
        <v>6</v>
      </c>
      <c r="B9" s="55">
        <v>5500</v>
      </c>
      <c r="C9" s="44">
        <v>0</v>
      </c>
      <c r="D9" s="43">
        <f>+C9*B9</f>
        <v>0</v>
      </c>
      <c r="E9" s="45">
        <v>0</v>
      </c>
      <c r="F9" s="43">
        <f>+E9*D9</f>
        <v>0</v>
      </c>
      <c r="G9" s="55">
        <f>+B9-D9*10</f>
        <v>5500</v>
      </c>
      <c r="I9" s="55">
        <f>+B9*1.25</f>
        <v>6875</v>
      </c>
      <c r="J9" s="43">
        <f>+D9*C9</f>
        <v>0</v>
      </c>
      <c r="K9" s="43">
        <f>+I9*C9</f>
        <v>0</v>
      </c>
      <c r="L9" s="55">
        <f>+I9+G9</f>
        <v>12375</v>
      </c>
    </row>
    <row r="10" spans="1:12" ht="23.5" x14ac:dyDescent="0.55000000000000004">
      <c r="B10" s="55">
        <f>SUM(B5:B9)</f>
        <v>22200</v>
      </c>
      <c r="C10" s="41"/>
      <c r="D10" s="4">
        <f>SUM(D5:D9)</f>
        <v>1100.33</v>
      </c>
      <c r="E10" s="20">
        <f>+J10/I10</f>
        <v>4.0159362549800799E-2</v>
      </c>
      <c r="F10" s="4">
        <f>SUM(F5:F9)</f>
        <v>900</v>
      </c>
      <c r="G10" s="55">
        <f>SUM(G5:G9)</f>
        <v>11196.7</v>
      </c>
      <c r="I10" s="55">
        <f>SUM(I5:I9)</f>
        <v>31375</v>
      </c>
      <c r="J10" s="4">
        <f>SUM(J5:J9)</f>
        <v>1260</v>
      </c>
      <c r="K10" s="4">
        <f>SUM(K5:K9)</f>
        <v>1614.5</v>
      </c>
      <c r="L10" s="55">
        <f>SUM(L5:L9)</f>
        <v>42571.7</v>
      </c>
    </row>
    <row r="11" spans="1:12" ht="23.5" x14ac:dyDescent="0.55000000000000004">
      <c r="A11" s="33" t="s">
        <v>42</v>
      </c>
      <c r="B11" s="57">
        <v>15000</v>
      </c>
      <c r="E11" s="94" t="s">
        <v>49</v>
      </c>
      <c r="F11" s="50">
        <f>Kalkyl!H18*10</f>
        <v>-9000</v>
      </c>
      <c r="G11" s="57">
        <f>+B11+F11</f>
        <v>6000</v>
      </c>
      <c r="J11" s="33" t="s">
        <v>42</v>
      </c>
      <c r="L11" s="57">
        <f>+I10-J10*10+G11</f>
        <v>24775</v>
      </c>
    </row>
    <row r="12" spans="1:12" ht="23.5" x14ac:dyDescent="0.55000000000000004">
      <c r="A12" s="33" t="s">
        <v>53</v>
      </c>
      <c r="B12" s="56">
        <f>+B11/B10</f>
        <v>0.67567567567567566</v>
      </c>
      <c r="C12" s="40"/>
      <c r="D12" s="40"/>
      <c r="G12" s="56">
        <f>+G11/G10</f>
        <v>0.53587217662346942</v>
      </c>
      <c r="I12" s="95" t="s">
        <v>61</v>
      </c>
      <c r="J12" s="33" t="s">
        <v>53</v>
      </c>
      <c r="L12" s="56">
        <f>+L11/L10</f>
        <v>0.58195937676907428</v>
      </c>
    </row>
    <row r="13" spans="1:12" ht="23.5" x14ac:dyDescent="0.55000000000000004">
      <c r="A13" s="33" t="s">
        <v>54</v>
      </c>
      <c r="B13" s="4">
        <f>+B11*1000/B1</f>
        <v>100000</v>
      </c>
      <c r="I13" s="60">
        <f>+I10*1000/(I1-B1)</f>
        <v>261458.33333333334</v>
      </c>
      <c r="J13" s="33" t="s">
        <v>54</v>
      </c>
      <c r="L13" s="4">
        <f>+L11/I1*1000</f>
        <v>91759.259259259255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DCDC5-983B-4ABD-9EAD-C031998DA296}">
  <dimension ref="B1:E13"/>
  <sheetViews>
    <sheetView zoomScale="120" zoomScaleNormal="120" workbookViewId="0">
      <selection activeCell="E10" sqref="E10"/>
    </sheetView>
  </sheetViews>
  <sheetFormatPr defaultRowHeight="14.5" x14ac:dyDescent="0.35"/>
  <cols>
    <col min="2" max="2" width="38.1796875" customWidth="1"/>
    <col min="3" max="4" width="16.453125" customWidth="1"/>
    <col min="5" max="8" width="14" customWidth="1"/>
    <col min="9" max="9" width="9.81640625" customWidth="1"/>
    <col min="10" max="10" width="29.453125" customWidth="1"/>
    <col min="11" max="12" width="15.7265625" customWidth="1"/>
    <col min="13" max="13" width="15.453125" customWidth="1"/>
    <col min="14" max="14" width="17.26953125" customWidth="1"/>
    <col min="15" max="15" width="15.453125" customWidth="1"/>
    <col min="16" max="16" width="12.7265625" customWidth="1"/>
    <col min="17" max="17" width="17.26953125" customWidth="1"/>
    <col min="18" max="18" width="16.453125" bestFit="1" customWidth="1"/>
    <col min="19" max="19" width="16.7265625" customWidth="1"/>
    <col min="20" max="20" width="15" bestFit="1" customWidth="1"/>
    <col min="21" max="23" width="14.81640625" customWidth="1"/>
  </cols>
  <sheetData>
    <row r="1" spans="2:5" ht="23.5" x14ac:dyDescent="0.55000000000000004">
      <c r="B1" s="5" t="s">
        <v>75</v>
      </c>
      <c r="C1" s="104" t="s">
        <v>23</v>
      </c>
      <c r="D1" s="104" t="s">
        <v>23</v>
      </c>
    </row>
    <row r="2" spans="2:5" ht="23.5" x14ac:dyDescent="0.55000000000000004">
      <c r="B2" s="5"/>
      <c r="C2" s="105" t="s">
        <v>24</v>
      </c>
      <c r="D2" s="105" t="s">
        <v>27</v>
      </c>
    </row>
    <row r="3" spans="2:5" ht="23.5" x14ac:dyDescent="0.55000000000000004">
      <c r="B3" s="5" t="s">
        <v>22</v>
      </c>
      <c r="C3" s="106">
        <v>-0.1</v>
      </c>
      <c r="D3" s="105" t="s">
        <v>73</v>
      </c>
    </row>
    <row r="4" spans="2:5" ht="23.5" x14ac:dyDescent="0.55000000000000004">
      <c r="B4" s="5" t="s">
        <v>18</v>
      </c>
      <c r="C4" s="106">
        <v>-0.03</v>
      </c>
      <c r="D4" s="105" t="s">
        <v>73</v>
      </c>
    </row>
    <row r="5" spans="2:5" ht="23.5" x14ac:dyDescent="0.55000000000000004">
      <c r="B5" s="5" t="s">
        <v>19</v>
      </c>
      <c r="C5" s="106">
        <v>-0.2</v>
      </c>
      <c r="D5" s="105" t="s">
        <v>73</v>
      </c>
    </row>
    <row r="6" spans="2:5" ht="23.5" x14ac:dyDescent="0.55000000000000004">
      <c r="B6" s="5" t="s">
        <v>20</v>
      </c>
      <c r="C6" s="105" t="s">
        <v>73</v>
      </c>
      <c r="D6" s="105" t="s">
        <v>73</v>
      </c>
    </row>
    <row r="7" spans="2:5" ht="23.5" x14ac:dyDescent="0.55000000000000004">
      <c r="B7" s="7" t="s">
        <v>21</v>
      </c>
      <c r="C7" s="107" t="s">
        <v>73</v>
      </c>
      <c r="D7" s="107" t="s">
        <v>73</v>
      </c>
    </row>
    <row r="8" spans="2:5" ht="23.5" x14ac:dyDescent="0.55000000000000004">
      <c r="B8" s="5"/>
      <c r="C8" s="108">
        <f>SUM(C3:C7)</f>
        <v>-0.33</v>
      </c>
      <c r="D8" s="108"/>
    </row>
    <row r="9" spans="2:5" x14ac:dyDescent="0.35">
      <c r="D9" s="97"/>
    </row>
    <row r="10" spans="2:5" ht="23.5" x14ac:dyDescent="0.55000000000000004">
      <c r="B10" s="5" t="s">
        <v>62</v>
      </c>
      <c r="C10" s="96">
        <f>+C8/5</f>
        <v>-6.6000000000000003E-2</v>
      </c>
      <c r="D10" s="5" t="s">
        <v>63</v>
      </c>
      <c r="E10" t="s">
        <v>76</v>
      </c>
    </row>
    <row r="13" spans="2:5" x14ac:dyDescent="0.35">
      <c r="B13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C660F-FBA8-488E-BD5B-424AF8EC9E1C}">
  <dimension ref="B1:H8"/>
  <sheetViews>
    <sheetView workbookViewId="0">
      <selection activeCell="B14" sqref="B14"/>
    </sheetView>
  </sheetViews>
  <sheetFormatPr defaultRowHeight="14.5" x14ac:dyDescent="0.35"/>
  <cols>
    <col min="2" max="2" width="48.1796875" bestFit="1" customWidth="1"/>
    <col min="3" max="3" width="11.26953125" bestFit="1" customWidth="1"/>
    <col min="5" max="5" width="10.26953125" bestFit="1" customWidth="1"/>
    <col min="7" max="7" width="10.26953125" bestFit="1" customWidth="1"/>
  </cols>
  <sheetData>
    <row r="1" spans="2:8" ht="23.5" x14ac:dyDescent="0.55000000000000004">
      <c r="B1" s="103" t="s">
        <v>74</v>
      </c>
    </row>
    <row r="3" spans="2:8" ht="23.5" x14ac:dyDescent="0.55000000000000004">
      <c r="B3" s="24" t="s">
        <v>14</v>
      </c>
      <c r="C3" s="109">
        <v>613242</v>
      </c>
      <c r="D3" s="110"/>
      <c r="E3" s="109">
        <v>459932</v>
      </c>
      <c r="F3" s="111"/>
      <c r="G3" s="109">
        <v>306621</v>
      </c>
      <c r="H3" s="111"/>
    </row>
    <row r="4" spans="2:8" ht="23.5" x14ac:dyDescent="0.55000000000000004">
      <c r="B4" s="3" t="s">
        <v>13</v>
      </c>
      <c r="C4" s="112">
        <f>-C3*0.75*0.2897</f>
        <v>-133242.15555</v>
      </c>
      <c r="D4" s="113">
        <f>+C4/C3</f>
        <v>-0.217275</v>
      </c>
      <c r="E4" s="112">
        <f>-E3*0.75*0.2897</f>
        <v>-99931.725300000006</v>
      </c>
      <c r="F4" s="113">
        <f>+E4/E3</f>
        <v>-0.21727500000000002</v>
      </c>
      <c r="G4" s="112">
        <f>-G3*0.75*0.2897</f>
        <v>-66621.077774999998</v>
      </c>
      <c r="H4" s="113">
        <f>+G4/G3</f>
        <v>-0.217275</v>
      </c>
    </row>
    <row r="5" spans="2:8" ht="23.5" x14ac:dyDescent="0.55000000000000004">
      <c r="B5" s="5" t="s">
        <v>15</v>
      </c>
      <c r="C5" s="114">
        <f>+C3+C4</f>
        <v>479999.84444999998</v>
      </c>
      <c r="D5" s="115"/>
      <c r="E5" s="114">
        <f>+E3+E4</f>
        <v>360000.27470000001</v>
      </c>
      <c r="F5" s="113"/>
      <c r="G5" s="114">
        <f>+G3+G4</f>
        <v>239999.92222499999</v>
      </c>
      <c r="H5" s="113"/>
    </row>
    <row r="6" spans="2:8" ht="23.5" x14ac:dyDescent="0.55000000000000004">
      <c r="B6" s="3" t="s">
        <v>11</v>
      </c>
      <c r="C6" s="112">
        <v>-110380</v>
      </c>
      <c r="D6" s="113">
        <f>+C6/C5</f>
        <v>-0.22995840785422988</v>
      </c>
      <c r="E6" s="112">
        <v>-76592</v>
      </c>
      <c r="F6" s="113">
        <f>+E6/E5</f>
        <v>-0.2127553932113708</v>
      </c>
      <c r="G6" s="112">
        <v>-43446</v>
      </c>
      <c r="H6" s="113">
        <f>+G6/G5</f>
        <v>-0.18102505866343307</v>
      </c>
    </row>
    <row r="7" spans="2:8" ht="23.5" x14ac:dyDescent="0.55000000000000004">
      <c r="B7" s="24" t="s">
        <v>12</v>
      </c>
      <c r="C7" s="114">
        <f>+C5+C6</f>
        <v>369619.84444999998</v>
      </c>
      <c r="D7" s="116"/>
      <c r="E7" s="114">
        <f>+E5+E6</f>
        <v>283408.27470000001</v>
      </c>
      <c r="F7" s="116"/>
      <c r="G7" s="114">
        <f>+G5+G6</f>
        <v>196553.92222499999</v>
      </c>
      <c r="H7" s="117"/>
    </row>
    <row r="8" spans="2:8" ht="23.5" x14ac:dyDescent="0.55000000000000004">
      <c r="B8" s="3" t="s">
        <v>16</v>
      </c>
      <c r="C8" s="109">
        <f>+C7/12</f>
        <v>30801.653704166663</v>
      </c>
      <c r="D8" s="110"/>
      <c r="E8" s="109">
        <f>+E7/12</f>
        <v>23617.356225</v>
      </c>
      <c r="F8" s="111"/>
      <c r="G8" s="109">
        <f>+G7/12</f>
        <v>16379.49351875</v>
      </c>
      <c r="H8" s="1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BA721AD537324CAD799A96F2F57C5D" ma:contentTypeVersion="3" ma:contentTypeDescription="Skapa ett nytt dokument." ma:contentTypeScope="" ma:versionID="d890bf37dee54aad1f487207e656795d">
  <xsd:schema xmlns:xsd="http://www.w3.org/2001/XMLSchema" xmlns:xs="http://www.w3.org/2001/XMLSchema" xmlns:p="http://schemas.microsoft.com/office/2006/metadata/properties" xmlns:ns2="410caa13-f5d4-41e4-98bb-a171feaac0c8" targetNamespace="http://schemas.microsoft.com/office/2006/metadata/properties" ma:root="true" ma:fieldsID="eca67d9325674d26e70a79bd15873934" ns2:_="">
    <xsd:import namespace="410caa13-f5d4-41e4-98bb-a171feaac0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caa13-f5d4-41e4-98bb-a171feaac0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C5E63C-8A4E-4825-AAE3-08E62451DD17}"/>
</file>

<file path=customXml/itemProps2.xml><?xml version="1.0" encoding="utf-8"?>
<ds:datastoreItem xmlns:ds="http://schemas.openxmlformats.org/officeDocument/2006/customXml" ds:itemID="{4443F7A0-20EC-4FA8-BE67-D586B927CB4E}"/>
</file>

<file path=customXml/itemProps3.xml><?xml version="1.0" encoding="utf-8"?>
<ds:datastoreItem xmlns:ds="http://schemas.openxmlformats.org/officeDocument/2006/customXml" ds:itemID="{8809451D-AAA3-4CE1-B6EE-DE03F78374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Kalkyl</vt:lpstr>
      <vt:lpstr>Kapital</vt:lpstr>
      <vt:lpstr>Risker</vt:lpstr>
      <vt:lpstr>Lön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 Karlsson</dc:creator>
  <cp:lastModifiedBy>Ove Karlsson</cp:lastModifiedBy>
  <dcterms:created xsi:type="dcterms:W3CDTF">2026-01-23T12:41:56Z</dcterms:created>
  <dcterms:modified xsi:type="dcterms:W3CDTF">2026-01-29T16:08:27Z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0x010100B1BA721AD537324CAD799A96F2F57C5D</vt:lpwstr>
  </property>
</Properties>
</file>